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12312" windowHeight="5688" activeTab="1"/>
  </bookViews>
  <sheets>
    <sheet name="基本資料" sheetId="2" r:id="rId1"/>
    <sheet name="計算資料" sheetId="1" r:id="rId2"/>
    <sheet name="Sheet1" sheetId="3" r:id="rId3"/>
  </sheets>
  <calcPr calcId="125725"/>
</workbook>
</file>

<file path=xl/calcChain.xml><?xml version="1.0" encoding="utf-8"?>
<calcChain xmlns="http://schemas.openxmlformats.org/spreadsheetml/2006/main">
  <c r="D14" i="2"/>
  <c r="G19" i="1"/>
  <c r="F19"/>
  <c r="E19"/>
  <c r="C12"/>
  <c r="B12"/>
  <c r="D23"/>
  <c r="C23"/>
  <c r="B23"/>
  <c r="E22"/>
  <c r="D15" i="2" s="1"/>
  <c r="E21" i="1"/>
  <c r="E20"/>
  <c r="D18"/>
  <c r="C18"/>
  <c r="B18"/>
  <c r="E17"/>
  <c r="C16"/>
  <c r="B16"/>
  <c r="D15"/>
  <c r="C15"/>
  <c r="B15"/>
  <c r="E11"/>
  <c r="E10"/>
  <c r="E9"/>
  <c r="E8"/>
  <c r="E7"/>
  <c r="E6"/>
  <c r="C13" i="2"/>
  <c r="C14" s="1"/>
  <c r="C15" s="1"/>
  <c r="C16" s="1"/>
  <c r="D16" l="1"/>
  <c r="E12" i="1"/>
  <c r="E23"/>
  <c r="E18"/>
  <c r="C30"/>
  <c r="B24"/>
  <c r="B31" s="1"/>
  <c r="E16"/>
  <c r="C24"/>
  <c r="C32" s="1"/>
  <c r="E15"/>
  <c r="E24" s="1"/>
  <c r="B29"/>
  <c r="D28" l="1"/>
  <c r="F24"/>
  <c r="D31" s="1"/>
  <c r="D30"/>
  <c r="G24"/>
  <c r="D32" s="1"/>
  <c r="B32" s="1"/>
  <c r="C40"/>
  <c r="I41" s="1"/>
  <c r="C44"/>
  <c r="E44" s="1"/>
  <c r="B42"/>
  <c r="B38"/>
  <c r="D38" s="1"/>
  <c r="D42" l="1"/>
  <c r="H42"/>
  <c r="I44"/>
  <c r="H39"/>
  <c r="H38"/>
  <c r="I40"/>
  <c r="E40"/>
  <c r="H43"/>
  <c r="I45"/>
  <c r="C31"/>
  <c r="D29"/>
  <c r="B44"/>
  <c r="D44" s="1"/>
  <c r="F44" l="1"/>
  <c r="C42"/>
  <c r="E42" s="1"/>
  <c r="C45"/>
  <c r="H44"/>
  <c r="H45"/>
  <c r="B43" l="1"/>
  <c r="B45"/>
  <c r="F42"/>
  <c r="I42"/>
  <c r="I43"/>
  <c r="C43" l="1"/>
  <c r="C29" l="1"/>
  <c r="C38" s="1"/>
  <c r="B36"/>
  <c r="F36" s="1"/>
  <c r="B30"/>
  <c r="B40" s="1"/>
  <c r="I38" l="1"/>
  <c r="I39"/>
  <c r="B39"/>
  <c r="H40"/>
  <c r="H41"/>
  <c r="B41" s="1"/>
  <c r="C41"/>
  <c r="B37"/>
  <c r="D40"/>
  <c r="F40" s="1"/>
  <c r="E38"/>
  <c r="F38" s="1"/>
  <c r="C39" l="1"/>
  <c r="G38"/>
  <c r="G42"/>
  <c r="G44"/>
  <c r="G40"/>
  <c r="G36"/>
</calcChain>
</file>

<file path=xl/sharedStrings.xml><?xml version="1.0" encoding="utf-8"?>
<sst xmlns="http://schemas.openxmlformats.org/spreadsheetml/2006/main" count="75" uniqueCount="58">
  <si>
    <t>夫</t>
    <phoneticPr fontId="2" type="noConversion"/>
  </si>
  <si>
    <t>所得資料</t>
    <phoneticPr fontId="2" type="noConversion"/>
  </si>
  <si>
    <t>夫所得</t>
    <phoneticPr fontId="2" type="noConversion"/>
  </si>
  <si>
    <t>妻所得</t>
    <phoneticPr fontId="2" type="noConversion"/>
  </si>
  <si>
    <t>受扶養親屬所得</t>
    <phoneticPr fontId="2" type="noConversion"/>
  </si>
  <si>
    <t>薪資所得</t>
    <phoneticPr fontId="2" type="noConversion"/>
  </si>
  <si>
    <t>執行業務所得</t>
    <phoneticPr fontId="2" type="noConversion"/>
  </si>
  <si>
    <t>營利所得（股利）</t>
    <phoneticPr fontId="2" type="noConversion"/>
  </si>
  <si>
    <t>其他所得</t>
    <phoneticPr fontId="2" type="noConversion"/>
  </si>
  <si>
    <t>免稅額</t>
    <phoneticPr fontId="2" type="noConversion"/>
  </si>
  <si>
    <t>標準扣除額</t>
    <phoneticPr fontId="2" type="noConversion"/>
  </si>
  <si>
    <t>列舉扣除額</t>
    <phoneticPr fontId="2" type="noConversion"/>
  </si>
  <si>
    <t>妻</t>
    <phoneticPr fontId="2" type="noConversion"/>
  </si>
  <si>
    <t>受扶養親屬</t>
    <phoneticPr fontId="2" type="noConversion"/>
  </si>
  <si>
    <t>備註</t>
    <phoneticPr fontId="2" type="noConversion"/>
  </si>
  <si>
    <t>合計</t>
    <phoneticPr fontId="2" type="noConversion"/>
  </si>
  <si>
    <t>B1.夫薪資分開</t>
    <phoneticPr fontId="2" type="noConversion"/>
  </si>
  <si>
    <t>B2.妻薪資分開</t>
    <phoneticPr fontId="2" type="noConversion"/>
  </si>
  <si>
    <t>A0.合併計算</t>
    <phoneticPr fontId="2" type="noConversion"/>
  </si>
  <si>
    <t>C1.夫所得分開</t>
    <phoneticPr fontId="2" type="noConversion"/>
  </si>
  <si>
    <t>C2.妻所得分開</t>
    <phoneticPr fontId="2" type="noConversion"/>
  </si>
  <si>
    <t>適用稅率</t>
    <phoneticPr fontId="2" type="noConversion"/>
  </si>
  <si>
    <t>-</t>
    <phoneticPr fontId="2" type="noConversion"/>
  </si>
  <si>
    <t>累進差額</t>
    <phoneticPr fontId="2" type="noConversion"/>
  </si>
  <si>
    <t>薪資特別扣除額</t>
    <phoneticPr fontId="2" type="noConversion"/>
  </si>
  <si>
    <t>應納稅額</t>
    <phoneticPr fontId="2" type="noConversion"/>
  </si>
  <si>
    <t>綜合所得淨額</t>
    <phoneticPr fontId="2" type="noConversion"/>
  </si>
  <si>
    <t>合併</t>
    <phoneticPr fontId="2" type="noConversion"/>
  </si>
  <si>
    <t>申報計算方式</t>
    <phoneticPr fontId="2" type="noConversion"/>
  </si>
  <si>
    <t>應採用方式</t>
    <phoneticPr fontId="2" type="noConversion"/>
  </si>
  <si>
    <t>免稅額/扣除額</t>
    <phoneticPr fontId="2" type="noConversion"/>
  </si>
  <si>
    <t>免稅額-未滿70歲</t>
    <phoneticPr fontId="2" type="noConversion"/>
  </si>
  <si>
    <t>免稅額-滿70歲</t>
    <phoneticPr fontId="2" type="noConversion"/>
  </si>
  <si>
    <t>標準扣除額</t>
    <phoneticPr fontId="2" type="noConversion"/>
  </si>
  <si>
    <t>薪資特別扣除額</t>
    <phoneticPr fontId="2" type="noConversion"/>
  </si>
  <si>
    <t xml:space="preserve"> 級距</t>
    <phoneticPr fontId="2" type="noConversion"/>
  </si>
  <si>
    <t>適用稅率/可增減所得</t>
    <phoneticPr fontId="2" type="noConversion"/>
  </si>
  <si>
    <t>附註：</t>
    <phoneticPr fontId="2" type="noConversion"/>
  </si>
  <si>
    <t>項目</t>
    <phoneticPr fontId="2" type="noConversion"/>
  </si>
  <si>
    <t>身心障礙特別扣除額</t>
    <phoneticPr fontId="2" type="noConversion"/>
  </si>
  <si>
    <t>教育特別扣除額</t>
    <phoneticPr fontId="2" type="noConversion"/>
  </si>
  <si>
    <t>幼兒學前特別扣除額</t>
    <phoneticPr fontId="2" type="noConversion"/>
  </si>
  <si>
    <t>財產交易所得</t>
    <phoneticPr fontId="2" type="noConversion"/>
  </si>
  <si>
    <t>利息收入</t>
    <phoneticPr fontId="2" type="noConversion"/>
  </si>
  <si>
    <t>儲蓄特別扣除額</t>
    <phoneticPr fontId="2" type="noConversion"/>
  </si>
  <si>
    <t>財產交易損失</t>
    <phoneticPr fontId="2" type="noConversion"/>
  </si>
  <si>
    <t>底色白色為自行填入處，數字為0者不要留空白</t>
    <phoneticPr fontId="2" type="noConversion"/>
  </si>
  <si>
    <t>此試算表係針對夫妻所得分開申報作簡易試算，不考慮複雜之狀況，單身者也不適用</t>
    <phoneticPr fontId="2" type="noConversion"/>
  </si>
  <si>
    <t>可增減所得為調增/減至上/下一個稅率級距之所得金額，以便規劃次年度所得達到最佳方案</t>
    <phoneticPr fontId="2" type="noConversion"/>
  </si>
  <si>
    <r>
      <rPr>
        <sz val="12"/>
        <color theme="1"/>
        <rFont val="微軟正黑體"/>
        <family val="2"/>
        <charset val="136"/>
      </rPr>
      <t>每名子女</t>
    </r>
    <r>
      <rPr>
        <sz val="12"/>
        <color theme="1"/>
        <rFont val="Book Antiqua"/>
        <family val="1"/>
      </rPr>
      <t xml:space="preserve"> 25,000</t>
    </r>
    <phoneticPr fontId="2" type="noConversion"/>
  </si>
  <si>
    <r>
      <rPr>
        <sz val="12"/>
        <color theme="1"/>
        <rFont val="微軟正黑體"/>
        <family val="2"/>
        <charset val="136"/>
      </rPr>
      <t>每人</t>
    </r>
    <r>
      <rPr>
        <sz val="12"/>
        <color theme="1"/>
        <rFont val="Book Antiqua"/>
        <family val="1"/>
      </rPr>
      <t>108,000</t>
    </r>
    <phoneticPr fontId="2" type="noConversion"/>
  </si>
  <si>
    <r>
      <rPr>
        <sz val="12"/>
        <color theme="1"/>
        <rFont val="微軟正黑體"/>
        <family val="2"/>
        <charset val="136"/>
      </rPr>
      <t>每戶</t>
    </r>
    <r>
      <rPr>
        <sz val="12"/>
        <color theme="1"/>
        <rFont val="Book Antiqua"/>
        <family val="1"/>
      </rPr>
      <t xml:space="preserve"> 270,000</t>
    </r>
    <phoneticPr fontId="2" type="noConversion"/>
  </si>
  <si>
    <t>備註</t>
    <phoneticPr fontId="2" type="noConversion"/>
  </si>
  <si>
    <r>
      <t>5</t>
    </r>
    <r>
      <rPr>
        <sz val="12"/>
        <color theme="1"/>
        <rFont val="微軟正黑體"/>
        <family val="2"/>
        <charset val="136"/>
      </rPr>
      <t>歲以下每名子女</t>
    </r>
    <r>
      <rPr>
        <sz val="12"/>
        <color theme="1"/>
        <rFont val="Book Antiqua"/>
        <family val="1"/>
      </rPr>
      <t xml:space="preserve"> 25,000</t>
    </r>
    <phoneticPr fontId="2" type="noConversion"/>
  </si>
  <si>
    <t>受扶養親屬人數</t>
    <phoneticPr fontId="2" type="noConversion"/>
  </si>
  <si>
    <t>未滿70歲人數</t>
    <phoneticPr fontId="2" type="noConversion"/>
  </si>
  <si>
    <t>滿70歲人數</t>
    <phoneticPr fontId="2" type="noConversion"/>
  </si>
  <si>
    <t>幼兒學前特別扣除額加回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</si>
</sst>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#,##0_);[Red]\(#,##0\)"/>
  </numFmts>
  <fonts count="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文鼎細圓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Book Antiqua"/>
      <family val="1"/>
    </font>
    <font>
      <sz val="12"/>
      <color rgb="FFFF0000"/>
      <name val="Book Antiqua"/>
      <family val="1"/>
    </font>
    <font>
      <b/>
      <sz val="12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EFB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1" applyNumberFormat="1" applyFont="1" applyFill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>
      <alignment vertical="center"/>
    </xf>
    <xf numFmtId="9" fontId="5" fillId="3" borderId="1" xfId="1" applyFont="1" applyFill="1" applyBorder="1">
      <alignment vertical="center"/>
    </xf>
    <xf numFmtId="176" fontId="5" fillId="3" borderId="1" xfId="0" applyNumberFormat="1" applyFont="1" applyFill="1" applyBorder="1" applyAlignment="1">
      <alignment horizontal="right" vertical="center"/>
    </xf>
    <xf numFmtId="41" fontId="5" fillId="3" borderId="1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3" borderId="2" xfId="0" applyFont="1" applyFill="1" applyBorder="1" applyAlignment="1">
      <alignment horizontal="left" vertical="center"/>
    </xf>
    <xf numFmtId="176" fontId="5" fillId="0" borderId="0" xfId="2" applyNumberFormat="1" applyFo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176" fontId="5" fillId="3" borderId="1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" xfId="0" applyFont="1" applyFill="1" applyBorder="1">
      <alignment vertical="center"/>
    </xf>
    <xf numFmtId="176" fontId="5" fillId="0" borderId="1" xfId="0" applyNumberFormat="1" applyFont="1" applyBorder="1" applyProtection="1">
      <alignment vertical="center"/>
      <protection locked="0"/>
    </xf>
    <xf numFmtId="176" fontId="5" fillId="0" borderId="1" xfId="0" applyNumberFormat="1" applyFont="1" applyFill="1" applyBorder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176" fontId="5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5" borderId="2" xfId="0" applyNumberFormat="1" applyFont="1" applyFill="1" applyBorder="1" applyAlignment="1">
      <alignment horizontal="center" vertical="center"/>
    </xf>
    <xf numFmtId="176" fontId="5" fillId="5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5" fillId="5" borderId="2" xfId="0" applyNumberFormat="1" applyFont="1" applyFill="1" applyBorder="1" applyAlignment="1">
      <alignment horizontal="right" vertical="center"/>
    </xf>
    <xf numFmtId="176" fontId="5" fillId="5" borderId="3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3">
    <cellStyle name="一般" xfId="0" builtinId="0"/>
    <cellStyle name="千分位" xfId="2" builtinId="3"/>
    <cellStyle name="百分比" xfId="1" builtinId="5"/>
  </cellStyles>
  <dxfs count="0"/>
  <tableStyles count="0" defaultTableStyle="TableStyleMedium9" defaultPivotStyle="PivotStyleLight16"/>
  <colors>
    <mruColors>
      <color rgb="FFFEFBD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19"/>
  <sheetViews>
    <sheetView workbookViewId="0">
      <selection activeCell="E17" sqref="E17"/>
    </sheetView>
  </sheetViews>
  <sheetFormatPr defaultRowHeight="16.2"/>
  <cols>
    <col min="1" max="1" width="29.6640625" customWidth="1"/>
    <col min="2" max="2" width="14.5546875" customWidth="1"/>
    <col min="3" max="3" width="14.77734375" customWidth="1"/>
    <col min="4" max="4" width="27.5546875" bestFit="1" customWidth="1"/>
    <col min="5" max="5" width="13.77734375" customWidth="1"/>
  </cols>
  <sheetData>
    <row r="3" spans="1:5" s="1" customFormat="1" ht="15.6">
      <c r="A3" s="15" t="s">
        <v>31</v>
      </c>
      <c r="B3" s="10">
        <v>85000</v>
      </c>
    </row>
    <row r="4" spans="1:5" s="1" customFormat="1" ht="15.6">
      <c r="A4" s="15" t="s">
        <v>32</v>
      </c>
      <c r="B4" s="10">
        <v>127500</v>
      </c>
    </row>
    <row r="5" spans="1:5">
      <c r="A5" s="15" t="s">
        <v>33</v>
      </c>
      <c r="B5" s="10">
        <v>79000</v>
      </c>
      <c r="C5" s="4"/>
    </row>
    <row r="6" spans="1:5">
      <c r="A6" s="15" t="s">
        <v>34</v>
      </c>
      <c r="B6" s="10">
        <v>108000</v>
      </c>
      <c r="C6" s="4"/>
    </row>
    <row r="7" spans="1:5" s="1" customFormat="1" ht="15.6">
      <c r="A7" s="15" t="s">
        <v>40</v>
      </c>
      <c r="B7" s="10">
        <v>25000</v>
      </c>
    </row>
    <row r="8" spans="1:5" s="1" customFormat="1" ht="15.6">
      <c r="A8" s="15" t="s">
        <v>41</v>
      </c>
      <c r="B8" s="10">
        <v>25000</v>
      </c>
    </row>
    <row r="9" spans="1:5" ht="19.95" customHeight="1">
      <c r="A9" s="14"/>
    </row>
    <row r="10" spans="1:5" ht="19.95" customHeight="1">
      <c r="A10" s="9" t="s">
        <v>35</v>
      </c>
      <c r="B10" s="9" t="s">
        <v>21</v>
      </c>
      <c r="C10" s="9" t="s">
        <v>23</v>
      </c>
      <c r="D10" s="9" t="s">
        <v>57</v>
      </c>
    </row>
    <row r="11" spans="1:5" ht="19.95" customHeight="1">
      <c r="A11" s="22">
        <v>0</v>
      </c>
      <c r="B11" s="11">
        <v>0</v>
      </c>
      <c r="C11" s="10">
        <v>0</v>
      </c>
      <c r="D11" s="10">
        <v>0</v>
      </c>
    </row>
    <row r="12" spans="1:5" ht="19.95" customHeight="1">
      <c r="A12" s="10">
        <v>520000</v>
      </c>
      <c r="B12" s="11">
        <v>0.05</v>
      </c>
      <c r="C12" s="10">
        <v>0</v>
      </c>
      <c r="D12" s="10">
        <v>0</v>
      </c>
      <c r="E12" s="4"/>
    </row>
    <row r="13" spans="1:5" ht="19.95" customHeight="1">
      <c r="A13" s="10">
        <v>1170000</v>
      </c>
      <c r="B13" s="11">
        <v>0.12</v>
      </c>
      <c r="C13" s="10">
        <f>A12*(B13-B12)</f>
        <v>36399.999999999993</v>
      </c>
      <c r="D13" s="10">
        <v>0</v>
      </c>
      <c r="E13" s="4"/>
    </row>
    <row r="14" spans="1:5" ht="19.95" customHeight="1">
      <c r="A14" s="10">
        <v>2350000</v>
      </c>
      <c r="B14" s="11">
        <v>0.2</v>
      </c>
      <c r="C14" s="10">
        <f>A13*(B14-B13)+C13</f>
        <v>130000</v>
      </c>
      <c r="D14" s="10">
        <f>計算資料!$E$22</f>
        <v>25000</v>
      </c>
      <c r="E14" s="4"/>
    </row>
    <row r="15" spans="1:5" ht="19.95" customHeight="1">
      <c r="A15" s="10">
        <v>4400000</v>
      </c>
      <c r="B15" s="11">
        <v>0.3</v>
      </c>
      <c r="C15" s="10">
        <f>A14*(B15-B14)+C14</f>
        <v>364999.99999999994</v>
      </c>
      <c r="D15" s="10">
        <f>計算資料!$E$22</f>
        <v>25000</v>
      </c>
      <c r="E15" s="4"/>
    </row>
    <row r="16" spans="1:5" ht="19.95" customHeight="1">
      <c r="A16" s="12" t="s">
        <v>22</v>
      </c>
      <c r="B16" s="11">
        <v>0.4</v>
      </c>
      <c r="C16" s="10">
        <f>A15*(B16-B15)+C15</f>
        <v>805000.00000000012</v>
      </c>
      <c r="D16" s="10">
        <f>計算資料!$E$22</f>
        <v>25000</v>
      </c>
      <c r="E16" s="4"/>
    </row>
    <row r="17" spans="1:1" ht="19.95" customHeight="1">
      <c r="A17" s="14"/>
    </row>
    <row r="18" spans="1:1" ht="19.95" customHeight="1">
      <c r="A18" s="14"/>
    </row>
    <row r="19" spans="1:1" ht="19.95" customHeight="1"/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56"/>
  <sheetViews>
    <sheetView tabSelected="1" zoomScaleNormal="100" workbookViewId="0">
      <selection activeCell="B9" sqref="B9"/>
    </sheetView>
  </sheetViews>
  <sheetFormatPr defaultRowHeight="15.6"/>
  <cols>
    <col min="1" max="1" width="28.44140625" style="1" customWidth="1"/>
    <col min="2" max="2" width="19.6640625" style="1" customWidth="1"/>
    <col min="3" max="3" width="18.5546875" style="1" customWidth="1"/>
    <col min="4" max="4" width="18.77734375" style="1" customWidth="1"/>
    <col min="5" max="5" width="18.88671875" style="1" customWidth="1"/>
    <col min="6" max="6" width="18.5546875" style="1" customWidth="1"/>
    <col min="7" max="7" width="17.44140625" style="1" customWidth="1"/>
    <col min="8" max="8" width="18.21875" style="1" hidden="1" customWidth="1"/>
    <col min="9" max="9" width="15.33203125" style="1" hidden="1" customWidth="1"/>
    <col min="10" max="10" width="15.109375" style="1" customWidth="1"/>
    <col min="11" max="11" width="14.21875" style="1" customWidth="1"/>
    <col min="12" max="16384" width="8.88671875" style="1"/>
  </cols>
  <sheetData>
    <row r="2" spans="1:7" customFormat="1" ht="19.95" customHeight="1">
      <c r="A2" s="20" t="s">
        <v>38</v>
      </c>
      <c r="B2" s="27" t="s">
        <v>54</v>
      </c>
      <c r="C2" s="1" t="s">
        <v>47</v>
      </c>
    </row>
    <row r="3" spans="1:7" customFormat="1" ht="19.95" customHeight="1">
      <c r="A3" s="15" t="s">
        <v>55</v>
      </c>
      <c r="B3" s="25">
        <v>2</v>
      </c>
      <c r="C3" s="1" t="s">
        <v>46</v>
      </c>
    </row>
    <row r="4" spans="1:7" customFormat="1" ht="19.95" customHeight="1">
      <c r="A4" s="15" t="s">
        <v>56</v>
      </c>
      <c r="B4" s="25">
        <v>0</v>
      </c>
    </row>
    <row r="5" spans="1:7" ht="19.95" customHeight="1">
      <c r="A5" s="20" t="s">
        <v>1</v>
      </c>
      <c r="B5" s="20" t="s">
        <v>2</v>
      </c>
      <c r="C5" s="20" t="s">
        <v>3</v>
      </c>
      <c r="D5" s="20" t="s">
        <v>4</v>
      </c>
      <c r="E5" s="20" t="s">
        <v>15</v>
      </c>
      <c r="F5" s="36" t="s">
        <v>52</v>
      </c>
      <c r="G5" s="42"/>
    </row>
    <row r="6" spans="1:7" ht="19.95" customHeight="1">
      <c r="A6" s="21" t="s">
        <v>5</v>
      </c>
      <c r="B6" s="26">
        <v>700000</v>
      </c>
      <c r="C6" s="26">
        <v>400000</v>
      </c>
      <c r="D6" s="26">
        <v>0</v>
      </c>
      <c r="E6" s="10">
        <f t="shared" ref="E6:E11" si="0">SUM(B6:D6)</f>
        <v>1100000</v>
      </c>
      <c r="F6" s="33"/>
      <c r="G6" s="34"/>
    </row>
    <row r="7" spans="1:7" ht="19.95" customHeight="1">
      <c r="A7" s="21" t="s">
        <v>6</v>
      </c>
      <c r="B7" s="26">
        <v>0</v>
      </c>
      <c r="C7" s="26">
        <v>0</v>
      </c>
      <c r="D7" s="26">
        <v>0</v>
      </c>
      <c r="E7" s="10">
        <f t="shared" si="0"/>
        <v>0</v>
      </c>
      <c r="F7" s="33"/>
      <c r="G7" s="34"/>
    </row>
    <row r="8" spans="1:7" ht="19.95" customHeight="1">
      <c r="A8" s="21" t="s">
        <v>7</v>
      </c>
      <c r="B8" s="26">
        <v>800000</v>
      </c>
      <c r="C8" s="26">
        <v>0</v>
      </c>
      <c r="D8" s="26">
        <v>0</v>
      </c>
      <c r="E8" s="10">
        <f t="shared" si="0"/>
        <v>800000</v>
      </c>
      <c r="F8" s="33"/>
      <c r="G8" s="34"/>
    </row>
    <row r="9" spans="1:7" ht="19.95" customHeight="1">
      <c r="A9" s="21" t="s">
        <v>42</v>
      </c>
      <c r="B9" s="26"/>
      <c r="C9" s="26">
        <v>0</v>
      </c>
      <c r="D9" s="26">
        <v>0</v>
      </c>
      <c r="E9" s="10">
        <f t="shared" si="0"/>
        <v>0</v>
      </c>
      <c r="F9" s="33"/>
      <c r="G9" s="34"/>
    </row>
    <row r="10" spans="1:7" ht="19.95" customHeight="1">
      <c r="A10" s="21" t="s">
        <v>8</v>
      </c>
      <c r="B10" s="26">
        <v>0</v>
      </c>
      <c r="C10" s="26">
        <v>0</v>
      </c>
      <c r="D10" s="26">
        <v>0</v>
      </c>
      <c r="E10" s="10">
        <f t="shared" si="0"/>
        <v>0</v>
      </c>
      <c r="F10" s="33"/>
      <c r="G10" s="34"/>
    </row>
    <row r="11" spans="1:7" ht="19.95" customHeight="1">
      <c r="A11" s="21" t="s">
        <v>43</v>
      </c>
      <c r="B11" s="26">
        <v>0</v>
      </c>
      <c r="C11" s="26">
        <v>0</v>
      </c>
      <c r="D11" s="26">
        <v>0</v>
      </c>
      <c r="E11" s="10">
        <f t="shared" si="0"/>
        <v>0</v>
      </c>
      <c r="F11" s="33"/>
      <c r="G11" s="34"/>
    </row>
    <row r="12" spans="1:7" ht="19.95" customHeight="1">
      <c r="A12" s="21" t="s">
        <v>15</v>
      </c>
      <c r="B12" s="10">
        <f>SUM(B6:B11)</f>
        <v>1500000</v>
      </c>
      <c r="C12" s="10">
        <f>SUM(C6:C11)</f>
        <v>400000</v>
      </c>
      <c r="D12" s="10"/>
      <c r="E12" s="10">
        <f>SUM($E$6:$E$11)</f>
        <v>1900000</v>
      </c>
      <c r="F12" s="33"/>
      <c r="G12" s="34"/>
    </row>
    <row r="13" spans="1:7" ht="19.95" customHeight="1">
      <c r="B13" s="2"/>
      <c r="C13" s="2"/>
      <c r="D13" s="2"/>
      <c r="E13" s="2"/>
      <c r="F13" s="2"/>
    </row>
    <row r="14" spans="1:7" ht="19.95" customHeight="1">
      <c r="A14" s="20" t="s">
        <v>30</v>
      </c>
      <c r="B14" s="17" t="s">
        <v>0</v>
      </c>
      <c r="C14" s="17" t="s">
        <v>12</v>
      </c>
      <c r="D14" s="17" t="s">
        <v>13</v>
      </c>
      <c r="E14" s="17" t="s">
        <v>15</v>
      </c>
      <c r="F14" s="36" t="s">
        <v>14</v>
      </c>
      <c r="G14" s="36"/>
    </row>
    <row r="15" spans="1:7" ht="19.95" customHeight="1">
      <c r="A15" s="24" t="s">
        <v>9</v>
      </c>
      <c r="B15" s="10">
        <f>基本資料!B3</f>
        <v>85000</v>
      </c>
      <c r="C15" s="10">
        <f>基本資料!B3</f>
        <v>85000</v>
      </c>
      <c r="D15" s="10">
        <f>計算資料!B3*基本資料!B3+計算資料!B4*基本資料!B4</f>
        <v>170000</v>
      </c>
      <c r="E15" s="10">
        <f t="shared" ref="E15:E22" si="1">SUM(B15:D15)</f>
        <v>340000</v>
      </c>
      <c r="F15" s="43"/>
      <c r="G15" s="44"/>
    </row>
    <row r="16" spans="1:7" ht="19.95" customHeight="1">
      <c r="A16" s="21" t="s">
        <v>10</v>
      </c>
      <c r="B16" s="13">
        <f>基本資料!$B$5</f>
        <v>79000</v>
      </c>
      <c r="C16" s="13">
        <f>基本資料!$B$5</f>
        <v>79000</v>
      </c>
      <c r="D16" s="10">
        <v>0</v>
      </c>
      <c r="E16" s="10">
        <f t="shared" si="1"/>
        <v>158000</v>
      </c>
      <c r="F16" s="33"/>
      <c r="G16" s="34"/>
    </row>
    <row r="17" spans="1:7" ht="19.95" customHeight="1">
      <c r="A17" s="21" t="s">
        <v>11</v>
      </c>
      <c r="B17" s="26">
        <v>0</v>
      </c>
      <c r="C17" s="26">
        <v>0</v>
      </c>
      <c r="D17" s="26">
        <v>0</v>
      </c>
      <c r="E17" s="10">
        <f t="shared" si="1"/>
        <v>0</v>
      </c>
      <c r="F17" s="33"/>
      <c r="G17" s="34"/>
    </row>
    <row r="18" spans="1:7" ht="19.95" customHeight="1">
      <c r="A18" s="24" t="s">
        <v>24</v>
      </c>
      <c r="B18" s="10">
        <f>MIN(B6,基本資料!$B$6)</f>
        <v>108000</v>
      </c>
      <c r="C18" s="10">
        <f>MIN(C6,基本資料!$B$6)</f>
        <v>108000</v>
      </c>
      <c r="D18" s="10">
        <f>MIN(D6,基本資料!$B$6)</f>
        <v>0</v>
      </c>
      <c r="E18" s="10">
        <f t="shared" si="1"/>
        <v>216000</v>
      </c>
      <c r="F18" s="33"/>
      <c r="G18" s="34"/>
    </row>
    <row r="19" spans="1:7" ht="19.95" customHeight="1">
      <c r="A19" s="23" t="s">
        <v>45</v>
      </c>
      <c r="B19" s="26">
        <v>0</v>
      </c>
      <c r="C19" s="26">
        <v>0</v>
      </c>
      <c r="D19" s="26">
        <v>0</v>
      </c>
      <c r="E19" s="10">
        <f>MIN(SUM(B9:D9),SUM(B19:D19))</f>
        <v>0</v>
      </c>
      <c r="F19" s="10">
        <f>MIN(SUM(C9,D9),SUM(C19,D19))+MIN(B9,B19)</f>
        <v>0</v>
      </c>
      <c r="G19" s="10">
        <f>MIN(SUM(B9,D9),SUM(B19,D19))+MIN(C9,C19)</f>
        <v>0</v>
      </c>
    </row>
    <row r="20" spans="1:7" customFormat="1" ht="19.95" customHeight="1">
      <c r="A20" s="23" t="s">
        <v>39</v>
      </c>
      <c r="B20" s="25">
        <v>0</v>
      </c>
      <c r="C20" s="25">
        <v>0</v>
      </c>
      <c r="D20" s="25">
        <v>0</v>
      </c>
      <c r="E20" s="10">
        <f t="shared" si="1"/>
        <v>0</v>
      </c>
      <c r="F20" s="40" t="s">
        <v>50</v>
      </c>
      <c r="G20" s="41"/>
    </row>
    <row r="21" spans="1:7" customFormat="1" ht="19.95" customHeight="1">
      <c r="A21" s="15" t="s">
        <v>40</v>
      </c>
      <c r="B21" s="10"/>
      <c r="C21" s="10"/>
      <c r="D21" s="25">
        <v>25000</v>
      </c>
      <c r="E21" s="10">
        <f t="shared" si="1"/>
        <v>25000</v>
      </c>
      <c r="F21" s="40" t="s">
        <v>49</v>
      </c>
      <c r="G21" s="41"/>
    </row>
    <row r="22" spans="1:7" customFormat="1" ht="19.95" customHeight="1">
      <c r="A22" s="15" t="s">
        <v>41</v>
      </c>
      <c r="B22" s="10"/>
      <c r="C22" s="10"/>
      <c r="D22" s="25">
        <v>25000</v>
      </c>
      <c r="E22" s="10">
        <f t="shared" si="1"/>
        <v>25000</v>
      </c>
      <c r="F22" s="40" t="s">
        <v>53</v>
      </c>
      <c r="G22" s="41"/>
    </row>
    <row r="23" spans="1:7" ht="19.95" customHeight="1">
      <c r="A23" s="24" t="s">
        <v>44</v>
      </c>
      <c r="B23" s="10">
        <f>MIN(B11,270000)</f>
        <v>0</v>
      </c>
      <c r="C23" s="10">
        <f t="shared" ref="C23:D23" si="2">MIN(C11,270000)</f>
        <v>0</v>
      </c>
      <c r="D23" s="10">
        <f t="shared" si="2"/>
        <v>0</v>
      </c>
      <c r="E23" s="10">
        <f>MIN(270000,SUM(B23:D23))</f>
        <v>0</v>
      </c>
      <c r="F23" s="40" t="s">
        <v>51</v>
      </c>
      <c r="G23" s="41"/>
    </row>
    <row r="24" spans="1:7" ht="19.95" customHeight="1">
      <c r="A24" s="21" t="s">
        <v>15</v>
      </c>
      <c r="B24" s="10">
        <f>B15+B18+MIN(B19,B9)+B20+B23</f>
        <v>193000</v>
      </c>
      <c r="C24" s="10">
        <f>C15+C18+MIN(C19,C9)+C20+C23</f>
        <v>193000</v>
      </c>
      <c r="D24" s="10"/>
      <c r="E24" s="10">
        <f>$E$15+$E$23+$E$18+E19+E21+E22+MAX($E$16:$E$17)</f>
        <v>764000</v>
      </c>
      <c r="F24" s="10">
        <f t="shared" ref="F24:G24" si="3">$E$15+$E$23+$E$18+F19+MAX($E$16:$E$17)</f>
        <v>714000</v>
      </c>
      <c r="G24" s="10">
        <f t="shared" si="3"/>
        <v>714000</v>
      </c>
    </row>
    <row r="25" spans="1:7" ht="19.95" customHeight="1">
      <c r="B25" s="2"/>
      <c r="C25" s="2"/>
      <c r="D25" s="2"/>
      <c r="E25" s="2"/>
      <c r="F25" s="2"/>
    </row>
    <row r="26" spans="1:7" ht="19.95" customHeight="1">
      <c r="G26" s="3"/>
    </row>
    <row r="27" spans="1:7" ht="19.95" customHeight="1">
      <c r="A27" s="20" t="s">
        <v>26</v>
      </c>
      <c r="B27" s="20" t="s">
        <v>0</v>
      </c>
      <c r="C27" s="20" t="s">
        <v>12</v>
      </c>
      <c r="D27" s="20" t="s">
        <v>27</v>
      </c>
      <c r="E27" s="45"/>
      <c r="F27" s="3"/>
    </row>
    <row r="28" spans="1:7" ht="19.95" customHeight="1">
      <c r="A28" s="21" t="s">
        <v>18</v>
      </c>
      <c r="B28" s="13">
        <v>0</v>
      </c>
      <c r="C28" s="13">
        <v>0</v>
      </c>
      <c r="D28" s="10">
        <f>MAX($E$12-$E$24,0)</f>
        <v>1136000</v>
      </c>
    </row>
    <row r="29" spans="1:7" ht="19.95" customHeight="1">
      <c r="A29" s="21" t="s">
        <v>16</v>
      </c>
      <c r="B29" s="10">
        <f>MAX(B6-B15-B18,0)</f>
        <v>507000</v>
      </c>
      <c r="C29" s="10">
        <f>MAX(D28-B29,0)</f>
        <v>629000</v>
      </c>
      <c r="D29" s="10">
        <f>$E$12-$E$24</f>
        <v>1136000</v>
      </c>
    </row>
    <row r="30" spans="1:7" ht="19.95" customHeight="1">
      <c r="A30" s="21" t="s">
        <v>17</v>
      </c>
      <c r="B30" s="10">
        <f>MAX(D28-C30,0)</f>
        <v>929000</v>
      </c>
      <c r="C30" s="10">
        <f>MAX(C6-C15-C18,0)</f>
        <v>207000</v>
      </c>
      <c r="D30" s="10">
        <f t="shared" ref="D30" si="4">$E$12-$E$24</f>
        <v>1136000</v>
      </c>
    </row>
    <row r="31" spans="1:7" ht="19.95" customHeight="1">
      <c r="A31" s="21" t="s">
        <v>19</v>
      </c>
      <c r="B31" s="10">
        <f>MAX(B12-B24,0)</f>
        <v>1307000</v>
      </c>
      <c r="C31" s="10">
        <f>MAX(D31-B31,0)</f>
        <v>0</v>
      </c>
      <c r="D31" s="10">
        <f>$E$12-$F$24</f>
        <v>1186000</v>
      </c>
    </row>
    <row r="32" spans="1:7" ht="19.95" customHeight="1">
      <c r="A32" s="21" t="s">
        <v>20</v>
      </c>
      <c r="B32" s="10">
        <f>MAX(D32-C32,0)</f>
        <v>979000</v>
      </c>
      <c r="C32" s="10">
        <f>MAX(C12-C24,0)</f>
        <v>207000</v>
      </c>
      <c r="D32" s="10">
        <f>$E$12-$G$24</f>
        <v>1186000</v>
      </c>
    </row>
    <row r="33" spans="1:9" ht="19.95" customHeight="1">
      <c r="A33" s="6"/>
      <c r="B33" s="8"/>
      <c r="C33" s="8"/>
      <c r="D33" s="8"/>
    </row>
    <row r="34" spans="1:9" ht="19.95" customHeight="1">
      <c r="A34" s="35" t="s">
        <v>28</v>
      </c>
      <c r="B34" s="39" t="s">
        <v>36</v>
      </c>
      <c r="C34" s="39"/>
      <c r="D34" s="36" t="s">
        <v>25</v>
      </c>
      <c r="E34" s="36"/>
      <c r="F34" s="36"/>
      <c r="G34" s="36"/>
    </row>
    <row r="35" spans="1:9" ht="19.95" customHeight="1">
      <c r="A35" s="35"/>
      <c r="B35" s="20" t="s">
        <v>0</v>
      </c>
      <c r="C35" s="20" t="s">
        <v>12</v>
      </c>
      <c r="D35" s="20" t="s">
        <v>0</v>
      </c>
      <c r="E35" s="20" t="s">
        <v>12</v>
      </c>
      <c r="F35" s="20" t="s">
        <v>27</v>
      </c>
      <c r="G35" s="20" t="s">
        <v>29</v>
      </c>
    </row>
    <row r="36" spans="1:9" ht="19.95" customHeight="1">
      <c r="A36" s="28" t="s">
        <v>18</v>
      </c>
      <c r="B36" s="37">
        <f>IF(D28&lt;=0,0,IF(D28&lt;=基本資料!$A$12,基本資料!$B$12,IF(D28&lt;=基本資料!$A$13,基本資料!$B$13,IF(D28&lt;=基本資料!$A$14,基本資料!$B$14,IF(D28&lt;=基本資料!$A$15,基本資料!$B$15,基本資料!$B$16)))))</f>
        <v>0.12</v>
      </c>
      <c r="C36" s="37"/>
      <c r="D36" s="29"/>
      <c r="E36" s="29"/>
      <c r="F36" s="29">
        <f>(D28+VLOOKUP(計算資料!B36,基本資料!B11:D16,3,0))*B36-VLOOKUP(計算資料!B36,基本資料!B11:C16,2,0)</f>
        <v>99920</v>
      </c>
      <c r="G36" s="32" t="str">
        <f>IF(F36=MIN($F$36:$F$45),"☆","")</f>
        <v/>
      </c>
      <c r="H36" s="16"/>
      <c r="I36" s="16"/>
    </row>
    <row r="37" spans="1:9" ht="19.95" customHeight="1">
      <c r="A37" s="28"/>
      <c r="B37" s="38">
        <f>IF(B36=0,0-D28,IF(B36=基本資料!$B$12,基本資料!$A$12-D28,IF(B36=基本資料!$B$13,基本資料!$A$13-D28,IF(B36=基本資料!$B$14,基本資料!$A$14-D28,IF(B36=基本資料!$B$15,基本資料!$A$15-D28,0)))))</f>
        <v>34000</v>
      </c>
      <c r="C37" s="38"/>
      <c r="D37" s="29"/>
      <c r="E37" s="29"/>
      <c r="F37" s="29"/>
      <c r="G37" s="32"/>
      <c r="H37" s="16"/>
      <c r="I37" s="16"/>
    </row>
    <row r="38" spans="1:9" ht="19.95" customHeight="1">
      <c r="A38" s="30" t="s">
        <v>16</v>
      </c>
      <c r="B38" s="18">
        <f>IF(B29&lt;=0,0,IF(B29&lt;=基本資料!$A$12,基本資料!$B$12,IF(B29&lt;=基本資料!$A$13,基本資料!$B$13,IF(B29&lt;=基本資料!$A$14,基本資料!$B$14,IF(B29&lt;=基本資料!$A$15,基本資料!$B$15,基本資料!$B$16)))))</f>
        <v>0.05</v>
      </c>
      <c r="C38" s="18">
        <f>IF(C29&lt;=0,0,IF(C29&lt;=基本資料!$A$12,基本資料!$B$12,IF(C29&lt;=基本資料!$A$13,基本資料!$B$13,IF(C29&lt;=基本資料!$A$14,基本資料!$B$14,IF(C29&lt;=基本資料!$A$15,基本資料!$B$15,基本資料!$B$16)))))</f>
        <v>0.12</v>
      </c>
      <c r="D38" s="29">
        <f>B29*B38-VLOOKUP(計算資料!B38,基本資料!$B$11:$C$16,2,0)</f>
        <v>25350</v>
      </c>
      <c r="E38" s="29">
        <f>(C29+VLOOKUP(計算資料!C38,基本資料!$B$11:$D$16,3,0))*C38-VLOOKUP(計算資料!C38,基本資料!$B$11:$C$16,2,0)</f>
        <v>39080.000000000007</v>
      </c>
      <c r="F38" s="29">
        <f>SUM(D38:E38)</f>
        <v>64430.000000000007</v>
      </c>
      <c r="G38" s="32" t="str">
        <f>IF(F38=MIN($F$36:$F$45),"☆","")</f>
        <v>☆</v>
      </c>
      <c r="H38" s="16">
        <f>IF(B38=0,0-B29,IF(B38=基本資料!$B$12,基本資料!$A$12-B29,IF(B38=基本資料!$B$13,基本資料!$A$13-B29,IF(B38=基本資料!$B$14,基本資料!$A$14-B29,IF(B38=基本資料!$B$15,基本資料!$A$15-B29,0)))))</f>
        <v>13000</v>
      </c>
      <c r="I38" s="16">
        <f>IF(C38=0,0-C29,IF(C38=基本資料!$B$12,基本資料!$A$12-C29,IF(C38=基本資料!$B$13,基本資料!$A$13-C29,IF(C38=基本資料!$B$14,基本資料!$A$14-C29,IF(C38=基本資料!$B$15,基本資料!$A$15-C29,0)))))</f>
        <v>541000</v>
      </c>
    </row>
    <row r="39" spans="1:9" ht="19.95" customHeight="1">
      <c r="A39" s="31"/>
      <c r="B39" s="19">
        <f>IF(B38=C38,0,IF(B38&gt;C38,H39,H38))</f>
        <v>13000</v>
      </c>
      <c r="C39" s="19">
        <f>IF(B38=C38,0,IF(B38&gt;C38,I38,I39))</f>
        <v>-109000</v>
      </c>
      <c r="D39" s="29"/>
      <c r="E39" s="29"/>
      <c r="F39" s="29"/>
      <c r="G39" s="32"/>
      <c r="H39" s="16">
        <f>IF(B38=0,0,IF(B38=基本資料!$B$12,-B29,IF(B38=基本資料!$B$13,基本資料!$A$12-B29,IF(B38=基本資料!$B$14,基本資料!$A$13-B29,IF(B38=基本資料!$B$15,基本資料!$A$14-B29,基本資料!$A$15-B29)))))</f>
        <v>-507000</v>
      </c>
      <c r="I39" s="16">
        <f>IF(C38=0,0,IF(C38=基本資料!$B$12,-C29,IF(C38=基本資料!$B$13,基本資料!$A$12-C29,IF(C38=基本資料!$B$14,基本資料!$A$13-C29,IF(C38=基本資料!$B$15,基本資料!$A$14-C29,基本資料!$A$15-C29)))))</f>
        <v>-109000</v>
      </c>
    </row>
    <row r="40" spans="1:9" ht="19.95" customHeight="1">
      <c r="A40" s="28" t="s">
        <v>17</v>
      </c>
      <c r="B40" s="18">
        <f>IF(B30&lt;=0,0,IF(B30&lt;=基本資料!$A$12,基本資料!$B$12,IF(B30&lt;=基本資料!$A$13,基本資料!$B$13,IF(B30&lt;=基本資料!$A$14,基本資料!$B$14,IF(B30&lt;=基本資料!$A$15,基本資料!$B$15,基本資料!$B$16)))))</f>
        <v>0.12</v>
      </c>
      <c r="C40" s="18">
        <f>IF(C30&lt;=0,0,IF(C30&lt;=基本資料!$A$12,基本資料!$B$12,IF(C30&lt;=基本資料!$A$13,基本資料!$B$13,IF(C30&lt;=基本資料!$A$14,基本資料!$B$14,IF(C30&lt;=基本資料!$A$15,基本資料!$B$15,基本資料!$B$16)))))</f>
        <v>0.05</v>
      </c>
      <c r="D40" s="29">
        <f>(B30+VLOOKUP(計算資料!B40,基本資料!$B$11:$D$16,3,0))*B40-VLOOKUP(計算資料!B40,基本資料!$B$11:$C$16,2,0)</f>
        <v>75080</v>
      </c>
      <c r="E40" s="29">
        <f>C30*C40-VLOOKUP(計算資料!C40,基本資料!$B$11:$C$16,2,0)</f>
        <v>10350</v>
      </c>
      <c r="F40" s="29">
        <f>SUM(D40:E40)</f>
        <v>85430</v>
      </c>
      <c r="G40" s="32" t="str">
        <f>IF(F40=MIN($F$36:$F$45),"☆","")</f>
        <v/>
      </c>
      <c r="H40" s="16">
        <f>IF(B40=0,0-B30,IF(B40=基本資料!$B$12,基本資料!$A$12-B30,IF(B40=基本資料!$B$13,基本資料!$A$13-B30,IF(B40=基本資料!$B$14,基本資料!$A$14-B30,IF(B40=基本資料!$B$15,基本資料!$A$15-B30,0)))))</f>
        <v>241000</v>
      </c>
      <c r="I40" s="16">
        <f>IF(C40=0,0-C30,IF(C40=基本資料!$B$12,基本資料!$A$12-C30,IF(C40=基本資料!$B$13,基本資料!$A$13-C30,IF(C40=基本資料!$B$14,基本資料!$A$14-C30,IF(C40=基本資料!$B$15,基本資料!$A$15-C30,0)))))</f>
        <v>313000</v>
      </c>
    </row>
    <row r="41" spans="1:9" ht="19.95" customHeight="1">
      <c r="A41" s="28"/>
      <c r="B41" s="19">
        <f>IF(B40=C40,0,IF(B40&gt;C40,H41,H40))</f>
        <v>-409000</v>
      </c>
      <c r="C41" s="19">
        <f>IF(B40=C40,0,IF(B40&gt;C40,I40,I41))</f>
        <v>313000</v>
      </c>
      <c r="D41" s="29"/>
      <c r="E41" s="29"/>
      <c r="F41" s="29"/>
      <c r="G41" s="32"/>
      <c r="H41" s="16">
        <f>IF(B40=0,0,IF(B40=基本資料!$B$12,-B30,IF(B40=基本資料!$B$13,基本資料!$A$12-B30,IF(B40=基本資料!$B$14,基本資料!$A$13-B30,IF(B40=基本資料!$B$15,基本資料!$A$14-B30,基本資料!$A$15-B30)))))</f>
        <v>-409000</v>
      </c>
      <c r="I41" s="16">
        <f>IF(C40=0,0,IF(C40=基本資料!$B$12,-C30,IF(C40=基本資料!$B$13,基本資料!$A$12-C30,IF(C40=基本資料!$B$14,基本資料!$A$13-C30,IF(C40=基本資料!$B$15,基本資料!$A$14-C30,基本資料!$A$15-C30)))))</f>
        <v>-207000</v>
      </c>
    </row>
    <row r="42" spans="1:9" ht="19.95" customHeight="1">
      <c r="A42" s="28" t="s">
        <v>19</v>
      </c>
      <c r="B42" s="18">
        <f>IF(B31&lt;=0,0,IF(B31&lt;=基本資料!$A$12,基本資料!$B$12,IF(B31&lt;=基本資料!$A$13,基本資料!$B$13,IF(B31&lt;=基本資料!$A$14,基本資料!$B$14,IF(B31&lt;=基本資料!$A$15,基本資料!$B$15,基本資料!$B$16)))))</f>
        <v>0.2</v>
      </c>
      <c r="C42" s="18">
        <f>IF(C31&lt;=0,0,IF(C31&lt;=基本資料!$A$12,基本資料!$B$12,IF(C31&lt;=基本資料!$A$13,基本資料!$B$13,IF(C31&lt;=基本資料!$A$14,基本資料!$B$14,IF(C31&lt;=基本資料!$A$15,基本資料!$B$15,基本資料!$B$16)))))</f>
        <v>0</v>
      </c>
      <c r="D42" s="29">
        <f>B31*B42-VLOOKUP(計算資料!B42,基本資料!$B$11:$C$16,2,0)</f>
        <v>131400</v>
      </c>
      <c r="E42" s="29">
        <f>(C31+VLOOKUP(計算資料!C42,基本資料!$B$11:$D$16,3,0))*C42-VLOOKUP(計算資料!C42,基本資料!$B$11:$C$16,2,0)</f>
        <v>0</v>
      </c>
      <c r="F42" s="29">
        <f>SUM(D42:E42)</f>
        <v>131400</v>
      </c>
      <c r="G42" s="32" t="str">
        <f>IF(F42=MIN($F$36:$F$45),"☆","")</f>
        <v/>
      </c>
      <c r="H42" s="16">
        <f>IF(B42=0,0-B31,IF(B42=基本資料!$B$12,基本資料!$A$12-B31,IF(B42=基本資料!$B$13,基本資料!$A$13-B31,IF(B42=基本資料!$B$14,基本資料!$A$14-B31,IF(B42=基本資料!$B$15,基本資料!$A$15-B31,0)))))</f>
        <v>1043000</v>
      </c>
      <c r="I42" s="16">
        <f>IF(C42=0,0-C31,IF(C42=基本資料!$B$12,基本資料!$A$12-C31,IF(C42=基本資料!$B$13,基本資料!$A$13-C31,IF(C42=基本資料!$B$14,基本資料!$A$14-C31,IF(C42=基本資料!$B$15,基本資料!$A$15-C31,0)))))</f>
        <v>0</v>
      </c>
    </row>
    <row r="43" spans="1:9" ht="19.95" customHeight="1">
      <c r="A43" s="28"/>
      <c r="B43" s="19">
        <f>IF(B42=C42,0,IF(B42&gt;C42,H43,H42))</f>
        <v>-137000</v>
      </c>
      <c r="C43" s="19">
        <f>IF(B42=C42,0,IF(B42&gt;C42,I42,I43))</f>
        <v>0</v>
      </c>
      <c r="D43" s="29"/>
      <c r="E43" s="29"/>
      <c r="F43" s="29"/>
      <c r="G43" s="32"/>
      <c r="H43" s="16">
        <f>IF(B42=0,0,IF(B42=基本資料!$B$12,-B31,IF(B42=基本資料!$B$13,基本資料!$A$12-B31,IF(B42=基本資料!$B$14,基本資料!$A$13-B31,IF(B42=基本資料!$B$15,基本資料!$A$14-B31,基本資料!$A$15-B31)))))</f>
        <v>-137000</v>
      </c>
      <c r="I43" s="16">
        <f>IF(C42=0,0,IF(C42=基本資料!$B$12,-C31,IF(C42=基本資料!$B$13,基本資料!$A$12-C31,IF(C42=基本資料!$B$14,基本資料!$A$13-C31,IF(C42=基本資料!$B$15,基本資料!$A$14-C31,基本資料!$A$15-C31)))))</f>
        <v>0</v>
      </c>
    </row>
    <row r="44" spans="1:9" ht="19.95" customHeight="1">
      <c r="A44" s="28" t="s">
        <v>20</v>
      </c>
      <c r="B44" s="18">
        <f>IF(B32&lt;=0,0,IF(B32&lt;=基本資料!$A$12,基本資料!$B$12,IF(B32&lt;=基本資料!$A$13,基本資料!$B$13,IF(B32&lt;=基本資料!$A$14,基本資料!$B$14,IF(B32&lt;=基本資料!$A$15,基本資料!$B$15,基本資料!$B$16)))))</f>
        <v>0.12</v>
      </c>
      <c r="C44" s="18">
        <f>IF(C32&lt;=0,0,IF(C32&lt;=基本資料!$A$12,基本資料!$B$12,IF(C32&lt;=基本資料!$A$13,基本資料!$B$13,IF(C32&lt;=基本資料!$A$14,基本資料!$B$14,IF(C32&lt;=基本資料!$A$15,基本資料!$B$15,基本資料!$B$16)))))</f>
        <v>0.05</v>
      </c>
      <c r="D44" s="29">
        <f>(B32-VLOOKUP(計算資料!B44,基本資料!$B$11:$D$16,3,0))*B44-VLOOKUP(計算資料!B44,基本資料!$B$11:$C$16,2,0)</f>
        <v>81080</v>
      </c>
      <c r="E44" s="29">
        <f>C32*C44-VLOOKUP(計算資料!C44,基本資料!$B$11:$C$16,2,0)</f>
        <v>10350</v>
      </c>
      <c r="F44" s="29">
        <f>SUM(D44:E44)</f>
        <v>91430</v>
      </c>
      <c r="G44" s="32" t="str">
        <f>IF(F44=MIN($F$36:$F$45),"☆","")</f>
        <v/>
      </c>
      <c r="H44" s="16">
        <f>IF(B44=0,0-B32,IF(B44=基本資料!$B$12,基本資料!$A$12-B32,IF(B44=基本資料!$B$13,基本資料!$A$13-B32,IF(B44=基本資料!$B$14,基本資料!$A$14-B32,IF(B44=基本資料!$B$15,基本資料!$A$15-B32,0)))))</f>
        <v>191000</v>
      </c>
      <c r="I44" s="16">
        <f>IF(C44=0,0-C32,IF(C44=基本資料!$B$12,基本資料!$A$12-C32,IF(C44=基本資料!$B$13,基本資料!$A$13-C32,IF(C44=基本資料!$B$14,基本資料!$A$14-C32,IF(C44=基本資料!$B$15,基本資料!$A$15-C32,0)))))</f>
        <v>313000</v>
      </c>
    </row>
    <row r="45" spans="1:9" ht="19.95" customHeight="1">
      <c r="A45" s="28"/>
      <c r="B45" s="19">
        <f>IF(B44=C44,0,IF(B44&gt;C44,H45,H44))</f>
        <v>-459000</v>
      </c>
      <c r="C45" s="19">
        <f>IF(B44=C44,0,IF(B44&gt;C44,I44,I45))</f>
        <v>313000</v>
      </c>
      <c r="D45" s="29"/>
      <c r="E45" s="29"/>
      <c r="F45" s="29"/>
      <c r="G45" s="32"/>
      <c r="H45" s="16">
        <f>IF(B44=0,0,IF(B44=基本資料!$B$12,-B32,IF(B44=基本資料!$B$13,基本資料!$A$12-B32,IF(B44=基本資料!$B$14,基本資料!$A$13-B32,IF(B44=基本資料!$B$15,基本資料!$A$14-B32,基本資料!$A$15-B32)))))</f>
        <v>-459000</v>
      </c>
      <c r="I45" s="16">
        <f>IF(C44=0,0,IF(C44=基本資料!$B$12,-C32,IF(C44=基本資料!$B$13,基本資料!$A$12-C32,IF(C44=基本資料!$B$14,基本資料!$A$13-C32,IF(C44=基本資料!$B$15,基本資料!$A$14-C32,基本資料!$A$15-C32)))))</f>
        <v>-207000</v>
      </c>
    </row>
    <row r="46" spans="1:9" ht="19.95" customHeight="1">
      <c r="A46" s="6"/>
      <c r="C46" s="5"/>
      <c r="D46" s="5"/>
      <c r="E46" s="7"/>
      <c r="F46" s="5"/>
      <c r="G46" s="5"/>
    </row>
    <row r="47" spans="1:9">
      <c r="A47" s="1" t="s">
        <v>37</v>
      </c>
    </row>
    <row r="48" spans="1:9">
      <c r="A48" s="1" t="s">
        <v>48</v>
      </c>
    </row>
    <row r="56" spans="1:5" customFormat="1" ht="19.95" customHeight="1">
      <c r="A56" s="4"/>
      <c r="B56" s="4"/>
      <c r="D56" s="4"/>
      <c r="E56" s="4"/>
    </row>
  </sheetData>
  <mergeCells count="47">
    <mergeCell ref="F20:G20"/>
    <mergeCell ref="F21:G21"/>
    <mergeCell ref="F22:G22"/>
    <mergeCell ref="F23:G23"/>
    <mergeCell ref="F5:G5"/>
    <mergeCell ref="F6:G6"/>
    <mergeCell ref="F7:G7"/>
    <mergeCell ref="F8:G8"/>
    <mergeCell ref="F9:G9"/>
    <mergeCell ref="F10:G10"/>
    <mergeCell ref="F11:G11"/>
    <mergeCell ref="F12:G12"/>
    <mergeCell ref="F14:G14"/>
    <mergeCell ref="F15:G15"/>
    <mergeCell ref="F16:G16"/>
    <mergeCell ref="F17:G17"/>
    <mergeCell ref="F18:G18"/>
    <mergeCell ref="A34:A35"/>
    <mergeCell ref="D40:D41"/>
    <mergeCell ref="E40:E41"/>
    <mergeCell ref="F40:F41"/>
    <mergeCell ref="G40:G41"/>
    <mergeCell ref="F36:F37"/>
    <mergeCell ref="E36:E37"/>
    <mergeCell ref="G36:G37"/>
    <mergeCell ref="D34:G34"/>
    <mergeCell ref="B36:C36"/>
    <mergeCell ref="B37:C37"/>
    <mergeCell ref="B34:C34"/>
    <mergeCell ref="D36:D37"/>
    <mergeCell ref="D38:D39"/>
    <mergeCell ref="G38:G39"/>
    <mergeCell ref="G44:G45"/>
    <mergeCell ref="D42:D43"/>
    <mergeCell ref="E42:E43"/>
    <mergeCell ref="F42:F43"/>
    <mergeCell ref="G42:G43"/>
    <mergeCell ref="D44:D45"/>
    <mergeCell ref="A36:A37"/>
    <mergeCell ref="E38:E39"/>
    <mergeCell ref="F38:F39"/>
    <mergeCell ref="A40:A41"/>
    <mergeCell ref="E44:E45"/>
    <mergeCell ref="F44:F45"/>
    <mergeCell ref="A42:A43"/>
    <mergeCell ref="A44:A45"/>
    <mergeCell ref="A38:A3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40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基本資料</vt:lpstr>
      <vt:lpstr>計算資料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Arens</dc:creator>
  <cp:lastModifiedBy>Arens</cp:lastModifiedBy>
  <cp:lastPrinted>2013-11-05T00:46:39Z</cp:lastPrinted>
  <dcterms:created xsi:type="dcterms:W3CDTF">2013-10-21T00:17:46Z</dcterms:created>
  <dcterms:modified xsi:type="dcterms:W3CDTF">2015-05-21T00:01:06Z</dcterms:modified>
</cp:coreProperties>
</file>